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Mi unidad\Clases Sem 2025-II\Fundicion\Apuntes\"/>
    </mc:Choice>
  </mc:AlternateContent>
  <xr:revisionPtr revIDLastSave="0" documentId="13_ncr:1_{1DE1A471-EFB5-4564-A4BD-D87CEBEFF4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Hoja1!$J$62</definedName>
    <definedName name="solver_typ" localSheetId="0" hidden="1">3</definedName>
    <definedName name="solver_val" localSheetId="0" hidden="1">182.5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I76" i="1"/>
  <c r="I77" i="1"/>
  <c r="H76" i="1"/>
  <c r="E67" i="1"/>
  <c r="F67" i="1"/>
  <c r="G67" i="1"/>
  <c r="H41" i="1"/>
  <c r="H53" i="1" s="1"/>
  <c r="J64" i="1" s="1"/>
  <c r="G68" i="1" s="1"/>
  <c r="G71" i="1" s="1"/>
  <c r="E113" i="1"/>
  <c r="F113" i="1"/>
  <c r="G113" i="1"/>
  <c r="I113" i="1"/>
  <c r="J113" i="1"/>
  <c r="K113" i="1"/>
  <c r="L113" i="1"/>
  <c r="D113" i="1"/>
  <c r="E105" i="1"/>
  <c r="F105" i="1"/>
  <c r="G105" i="1"/>
  <c r="I105" i="1"/>
  <c r="J105" i="1"/>
  <c r="K105" i="1"/>
  <c r="L105" i="1"/>
  <c r="E106" i="1"/>
  <c r="F106" i="1"/>
  <c r="G106" i="1"/>
  <c r="H106" i="1"/>
  <c r="I106" i="1"/>
  <c r="J106" i="1"/>
  <c r="K106" i="1"/>
  <c r="L106" i="1"/>
  <c r="M106" i="1"/>
  <c r="D106" i="1"/>
  <c r="D105" i="1"/>
  <c r="H100" i="1"/>
  <c r="H97" i="1"/>
  <c r="H94" i="1"/>
  <c r="E53" i="1"/>
  <c r="F53" i="1"/>
  <c r="G53" i="1"/>
  <c r="I53" i="1"/>
  <c r="J53" i="1"/>
  <c r="K53" i="1"/>
  <c r="L53" i="1"/>
  <c r="D53" i="1"/>
  <c r="E41" i="1"/>
  <c r="F41" i="1"/>
  <c r="G41" i="1"/>
  <c r="I41" i="1"/>
  <c r="J41" i="1"/>
  <c r="K41" i="1"/>
  <c r="L41" i="1"/>
  <c r="L86" i="1" s="1"/>
  <c r="D41" i="1"/>
  <c r="E49" i="1"/>
  <c r="F49" i="1"/>
  <c r="G49" i="1"/>
  <c r="H49" i="1"/>
  <c r="H82" i="1" s="1"/>
  <c r="I49" i="1"/>
  <c r="J49" i="1"/>
  <c r="K49" i="1"/>
  <c r="L49" i="1"/>
  <c r="L82" i="1" s="1"/>
  <c r="M49" i="1"/>
  <c r="E48" i="1"/>
  <c r="F48" i="1"/>
  <c r="G48" i="1"/>
  <c r="H48" i="1"/>
  <c r="H81" i="1" s="1"/>
  <c r="H105" i="1" s="1"/>
  <c r="I48" i="1"/>
  <c r="J48" i="1"/>
  <c r="K48" i="1"/>
  <c r="L48" i="1"/>
  <c r="D49" i="1"/>
  <c r="D48" i="1"/>
  <c r="D81" i="1"/>
  <c r="E86" i="1"/>
  <c r="F86" i="1"/>
  <c r="G86" i="1"/>
  <c r="I86" i="1"/>
  <c r="J86" i="1"/>
  <c r="K86" i="1"/>
  <c r="D86" i="1"/>
  <c r="J25" i="1"/>
  <c r="G25" i="1"/>
  <c r="I25" i="1"/>
  <c r="F25" i="1"/>
  <c r="D82" i="1"/>
  <c r="E82" i="1"/>
  <c r="F82" i="1"/>
  <c r="G82" i="1"/>
  <c r="I82" i="1"/>
  <c r="J82" i="1"/>
  <c r="K82" i="1"/>
  <c r="M82" i="1"/>
  <c r="E81" i="1"/>
  <c r="F81" i="1"/>
  <c r="G81" i="1"/>
  <c r="I81" i="1"/>
  <c r="J81" i="1"/>
  <c r="K81" i="1"/>
  <c r="L81" i="1"/>
  <c r="E71" i="1"/>
  <c r="F70" i="1"/>
  <c r="F73" i="1" s="1"/>
  <c r="G70" i="1"/>
  <c r="G73" i="1" s="1"/>
  <c r="E70" i="1"/>
  <c r="E73" i="1" s="1"/>
  <c r="E68" i="1"/>
  <c r="G64" i="1"/>
  <c r="F68" i="1" s="1"/>
  <c r="F71" i="1" s="1"/>
  <c r="H64" i="1"/>
  <c r="E64" i="1"/>
  <c r="D64" i="1"/>
  <c r="J61" i="1"/>
  <c r="H61" i="1"/>
  <c r="E61" i="1"/>
  <c r="E58" i="1"/>
  <c r="F58" i="1"/>
  <c r="G58" i="1"/>
  <c r="G57" i="1"/>
  <c r="F57" i="1"/>
  <c r="E57" i="1"/>
  <c r="D57" i="1"/>
  <c r="C57" i="1"/>
  <c r="M23" i="1"/>
  <c r="M24" i="1"/>
  <c r="M25" i="1"/>
  <c r="M26" i="1"/>
  <c r="M27" i="1"/>
  <c r="M28" i="1"/>
  <c r="M29" i="1"/>
  <c r="M30" i="1"/>
  <c r="M31" i="1"/>
  <c r="M32" i="1"/>
  <c r="M33" i="1"/>
  <c r="M34" i="1"/>
  <c r="M22" i="1"/>
  <c r="M48" i="1" s="1"/>
  <c r="M81" i="1" s="1"/>
  <c r="M105" i="1" s="1"/>
  <c r="E25" i="1"/>
  <c r="D25" i="1"/>
  <c r="H24" i="1"/>
  <c r="E45" i="1"/>
  <c r="E44" i="1"/>
  <c r="J29" i="1"/>
  <c r="J26" i="1"/>
  <c r="J24" i="1"/>
  <c r="I24" i="1"/>
  <c r="G24" i="1"/>
  <c r="G26" i="1"/>
  <c r="G28" i="1"/>
  <c r="F29" i="1"/>
  <c r="F27" i="1"/>
  <c r="E24" i="1"/>
  <c r="E26" i="1"/>
  <c r="E27" i="1"/>
  <c r="E28" i="1"/>
  <c r="E30" i="1"/>
  <c r="D29" i="1"/>
  <c r="D27" i="1"/>
  <c r="J23" i="1"/>
  <c r="J22" i="1"/>
  <c r="H23" i="1"/>
  <c r="E23" i="1"/>
  <c r="D23" i="1"/>
  <c r="E22" i="1"/>
  <c r="D22" i="1"/>
  <c r="H86" i="1" l="1"/>
  <c r="M41" i="1"/>
  <c r="H113" i="1"/>
  <c r="E74" i="1"/>
  <c r="F74" i="1"/>
  <c r="G74" i="1"/>
  <c r="M53" i="1" l="1"/>
  <c r="M113" i="1"/>
  <c r="M86" i="1"/>
  <c r="N113" i="1"/>
  <c r="G77" i="1"/>
  <c r="G76" i="1"/>
  <c r="H84" i="1" s="1"/>
  <c r="F77" i="1"/>
  <c r="F76" i="1"/>
  <c r="E77" i="1"/>
  <c r="E76" i="1"/>
  <c r="H83" i="1" l="1"/>
  <c r="H85" i="1" s="1"/>
  <c r="H89" i="1" s="1"/>
  <c r="D83" i="1"/>
  <c r="H108" i="1"/>
  <c r="I84" i="1"/>
  <c r="I108" i="1" s="1"/>
  <c r="J84" i="1"/>
  <c r="J108" i="1" s="1"/>
  <c r="K84" i="1"/>
  <c r="K108" i="1" s="1"/>
  <c r="L84" i="1"/>
  <c r="L108" i="1" s="1"/>
  <c r="E84" i="1"/>
  <c r="E108" i="1" s="1"/>
  <c r="F84" i="1"/>
  <c r="F108" i="1" s="1"/>
  <c r="M84" i="1"/>
  <c r="M108" i="1" s="1"/>
  <c r="D84" i="1"/>
  <c r="G84" i="1"/>
  <c r="G108" i="1" s="1"/>
  <c r="D107" i="1"/>
  <c r="L83" i="1"/>
  <c r="M83" i="1"/>
  <c r="E83" i="1"/>
  <c r="F83" i="1"/>
  <c r="G83" i="1"/>
  <c r="I83" i="1"/>
  <c r="J83" i="1"/>
  <c r="K83" i="1"/>
  <c r="E107" i="1" l="1"/>
  <c r="E85" i="1"/>
  <c r="D85" i="1"/>
  <c r="D108" i="1"/>
  <c r="M107" i="1"/>
  <c r="M85" i="1"/>
  <c r="M89" i="1" s="1"/>
  <c r="G107" i="1"/>
  <c r="G85" i="1"/>
  <c r="G89" i="1" s="1"/>
  <c r="H107" i="1"/>
  <c r="F107" i="1"/>
  <c r="F85" i="1"/>
  <c r="F87" i="1" s="1"/>
  <c r="E94" i="1" s="1"/>
  <c r="I94" i="1" s="1"/>
  <c r="L107" i="1"/>
  <c r="L85" i="1"/>
  <c r="L89" i="1" s="1"/>
  <c r="K107" i="1"/>
  <c r="K85" i="1"/>
  <c r="K89" i="1" s="1"/>
  <c r="J107" i="1"/>
  <c r="J85" i="1"/>
  <c r="I107" i="1"/>
  <c r="I85" i="1"/>
  <c r="I89" i="1" s="1"/>
  <c r="J89" i="1"/>
  <c r="J87" i="1"/>
  <c r="G87" i="1" l="1"/>
  <c r="E97" i="1" s="1"/>
  <c r="I97" i="1" s="1"/>
  <c r="F110" i="1" s="1"/>
  <c r="F89" i="1"/>
  <c r="K87" i="1"/>
  <c r="M87" i="1"/>
  <c r="H109" i="1"/>
  <c r="I109" i="1"/>
  <c r="J109" i="1"/>
  <c r="K109" i="1"/>
  <c r="F109" i="1"/>
  <c r="G109" i="1"/>
  <c r="L109" i="1"/>
  <c r="M109" i="1"/>
  <c r="D109" i="1"/>
  <c r="E109" i="1"/>
  <c r="H87" i="1"/>
  <c r="E110" i="1"/>
  <c r="D110" i="1"/>
  <c r="I110" i="1"/>
  <c r="J110" i="1"/>
  <c r="L110" i="1"/>
  <c r="M110" i="1"/>
  <c r="K110" i="1"/>
  <c r="L87" i="1"/>
  <c r="D87" i="1"/>
  <c r="D89" i="1"/>
  <c r="E87" i="1"/>
  <c r="E89" i="1"/>
  <c r="I87" i="1"/>
  <c r="E100" i="1" s="1"/>
  <c r="I100" i="1" s="1"/>
  <c r="H110" i="1" l="1"/>
  <c r="G110" i="1"/>
  <c r="L111" i="1"/>
  <c r="L112" i="1" s="1"/>
  <c r="M111" i="1"/>
  <c r="M112" i="1" s="1"/>
  <c r="D111" i="1"/>
  <c r="D112" i="1" s="1"/>
  <c r="G111" i="1"/>
  <c r="G112" i="1" s="1"/>
  <c r="I111" i="1"/>
  <c r="I112" i="1" s="1"/>
  <c r="F111" i="1"/>
  <c r="F112" i="1" s="1"/>
  <c r="H111" i="1"/>
  <c r="H112" i="1" s="1"/>
  <c r="J111" i="1"/>
  <c r="J112" i="1" s="1"/>
  <c r="K111" i="1"/>
  <c r="K112" i="1" s="1"/>
  <c r="E111" i="1"/>
  <c r="E112" i="1" s="1"/>
  <c r="E115" i="1" l="1"/>
  <c r="E114" i="1"/>
  <c r="J115" i="1"/>
  <c r="J114" i="1"/>
  <c r="H115" i="1"/>
  <c r="H114" i="1"/>
  <c r="I115" i="1"/>
  <c r="I114" i="1"/>
  <c r="M115" i="1"/>
  <c r="M114" i="1"/>
  <c r="N114" i="1" s="1"/>
  <c r="D115" i="1"/>
  <c r="D114" i="1"/>
  <c r="N112" i="1"/>
  <c r="G115" i="1"/>
  <c r="G114" i="1"/>
  <c r="K115" i="1"/>
  <c r="K114" i="1"/>
  <c r="F115" i="1"/>
  <c r="F114" i="1"/>
  <c r="L115" i="1"/>
  <c r="L114" i="1"/>
</calcChain>
</file>

<file path=xl/sharedStrings.xml><?xml version="1.0" encoding="utf-8"?>
<sst xmlns="http://schemas.openxmlformats.org/spreadsheetml/2006/main" count="189" uniqueCount="72">
  <si>
    <t>Chatarra o aleación liga</t>
  </si>
  <si>
    <t>Composición (%)</t>
  </si>
  <si>
    <t>Si</t>
  </si>
  <si>
    <t>Fe</t>
  </si>
  <si>
    <t>Cu</t>
  </si>
  <si>
    <t>Mn</t>
  </si>
  <si>
    <t>Mg</t>
  </si>
  <si>
    <t>Ni</t>
  </si>
  <si>
    <t>Zn</t>
  </si>
  <si>
    <t>Sn</t>
  </si>
  <si>
    <t>Ti</t>
  </si>
  <si>
    <t>7.0 – 9.0</t>
  </si>
  <si>
    <t>0.30 – 0.70</t>
  </si>
  <si>
    <t>5.5 – 6.5</t>
  </si>
  <si>
    <t>0.30 - 0.70</t>
  </si>
  <si>
    <t>---</t>
  </si>
  <si>
    <t>5.8 – 6.8</t>
  </si>
  <si>
    <t>0.20 – 0.40</t>
  </si>
  <si>
    <t>1.0 - 3.0</t>
  </si>
  <si>
    <t>6.0 - 8.0</t>
  </si>
  <si>
    <t>11.0 - 13.0</t>
  </si>
  <si>
    <t>0.50 - 1.5</t>
  </si>
  <si>
    <t>0.8 - 1.3</t>
  </si>
  <si>
    <t>2.0 - 3.0</t>
  </si>
  <si>
    <t>A535.0</t>
  </si>
  <si>
    <t>0.10 - 0.25</t>
  </si>
  <si>
    <t>6.5 - 7.5</t>
  </si>
  <si>
    <t>5.5 - 6.5</t>
  </si>
  <si>
    <t>3.0 - 4.0</t>
  </si>
  <si>
    <t>5.5 – 7.0</t>
  </si>
  <si>
    <t>0.6 - 0.8</t>
  </si>
  <si>
    <t>Al – 20 Si</t>
  </si>
  <si>
    <t>Al – 30 Mn</t>
  </si>
  <si>
    <t>Al – 20 Mg</t>
  </si>
  <si>
    <t>Cobre electrolítico</t>
  </si>
  <si>
    <t>Al – Ni</t>
  </si>
  <si>
    <t>Al</t>
  </si>
  <si>
    <t>Rendimiento</t>
  </si>
  <si>
    <t>flujo másico del horno</t>
  </si>
  <si>
    <t>kg/h</t>
  </si>
  <si>
    <t>Masa requerida</t>
  </si>
  <si>
    <t>kg</t>
  </si>
  <si>
    <t>Retornos</t>
  </si>
  <si>
    <t>%</t>
  </si>
  <si>
    <t>Ch 2219</t>
  </si>
  <si>
    <t>Masa requerida por el resto de chatarras</t>
  </si>
  <si>
    <t>Chatarras seleccionadas</t>
  </si>
  <si>
    <t>m1</t>
  </si>
  <si>
    <t>m2</t>
  </si>
  <si>
    <t>Producción</t>
  </si>
  <si>
    <t>+</t>
  </si>
  <si>
    <t>=</t>
  </si>
  <si>
    <t>Ecuación 1</t>
  </si>
  <si>
    <t>Ecuación 2</t>
  </si>
  <si>
    <t>Masa aportada</t>
  </si>
  <si>
    <t>Ch A535.0</t>
  </si>
  <si>
    <t>Requerido</t>
  </si>
  <si>
    <t>Balance</t>
  </si>
  <si>
    <t>CQ aproximada</t>
  </si>
  <si>
    <t>9.2 - 10.7</t>
  </si>
  <si>
    <t>0.15 - 0.35</t>
  </si>
  <si>
    <t>Ch 222.0</t>
  </si>
  <si>
    <t>Total Aportado</t>
  </si>
  <si>
    <t>Ajuste de Cu</t>
  </si>
  <si>
    <t>masa faltante</t>
  </si>
  <si>
    <t>masa agregada</t>
  </si>
  <si>
    <t>Ajuste de Mn</t>
  </si>
  <si>
    <t>Ajuste de Ni</t>
  </si>
  <si>
    <t>Cobre electrólitico</t>
  </si>
  <si>
    <t>Al - 30 Mn</t>
  </si>
  <si>
    <t>Al - Ni</t>
  </si>
  <si>
    <t>CQ. Estimada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</si>
</sst>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1" fillId="5" borderId="1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0" xfId="0" applyNumberFormat="1"/>
    <xf numFmtId="164" fontId="0" fillId="0" borderId="3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6"/>
  <sheetViews>
    <sheetView tabSelected="1" topLeftCell="B100" zoomScale="140" zoomScaleNormal="140" workbookViewId="0">
      <selection activeCell="D105" sqref="D105:L115"/>
    </sheetView>
  </sheetViews>
  <sheetFormatPr baseColWidth="10" defaultColWidth="9.109375" defaultRowHeight="14.4" x14ac:dyDescent="0.3"/>
  <cols>
    <col min="13" max="13" width="11.88671875" bestFit="1" customWidth="1"/>
  </cols>
  <sheetData>
    <row r="2" spans="3:12" ht="15" thickBot="1" x14ac:dyDescent="0.35"/>
    <row r="3" spans="3:12" ht="22.5" customHeight="1" thickBot="1" x14ac:dyDescent="0.35">
      <c r="C3" s="15" t="s">
        <v>0</v>
      </c>
      <c r="D3" s="15" t="s">
        <v>1</v>
      </c>
      <c r="E3" s="15"/>
      <c r="F3" s="15"/>
      <c r="G3" s="15"/>
      <c r="H3" s="15"/>
      <c r="I3" s="15"/>
      <c r="J3" s="15"/>
      <c r="K3" s="15"/>
      <c r="L3" s="15"/>
    </row>
    <row r="4" spans="3:12" ht="15" thickBot="1" x14ac:dyDescent="0.35">
      <c r="C4" s="15"/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3:12" ht="27" thickBot="1" x14ac:dyDescent="0.35">
      <c r="C5" s="1">
        <v>240</v>
      </c>
      <c r="D5" s="1">
        <v>0.5</v>
      </c>
      <c r="E5" s="1">
        <v>0.5</v>
      </c>
      <c r="F5" s="3" t="s">
        <v>11</v>
      </c>
      <c r="G5" s="3" t="s">
        <v>12</v>
      </c>
      <c r="H5" s="3" t="s">
        <v>13</v>
      </c>
      <c r="I5" s="3" t="s">
        <v>14</v>
      </c>
      <c r="J5" s="1">
        <v>0.1</v>
      </c>
      <c r="K5" s="1" t="s">
        <v>15</v>
      </c>
      <c r="L5" s="1">
        <v>0.2</v>
      </c>
    </row>
    <row r="6" spans="3:12" ht="27" thickBot="1" x14ac:dyDescent="0.35">
      <c r="C6" s="1">
        <v>2219</v>
      </c>
      <c r="D6" s="1">
        <v>0.2</v>
      </c>
      <c r="E6" s="1">
        <v>0.3</v>
      </c>
      <c r="F6" s="1" t="s">
        <v>16</v>
      </c>
      <c r="G6" s="1" t="s">
        <v>17</v>
      </c>
      <c r="H6" s="1">
        <v>0.02</v>
      </c>
      <c r="I6" s="1" t="s">
        <v>15</v>
      </c>
      <c r="J6" s="1">
        <v>0.1</v>
      </c>
      <c r="K6" s="1" t="s">
        <v>15</v>
      </c>
      <c r="L6" s="1">
        <v>0.1</v>
      </c>
    </row>
    <row r="7" spans="3:12" ht="15" thickBot="1" x14ac:dyDescent="0.35">
      <c r="C7" s="1">
        <v>213</v>
      </c>
      <c r="D7" s="1" t="s">
        <v>18</v>
      </c>
      <c r="E7" s="1">
        <v>1.2</v>
      </c>
      <c r="F7" s="1" t="s">
        <v>19</v>
      </c>
      <c r="G7" s="1">
        <v>0.6</v>
      </c>
      <c r="H7" s="1">
        <v>0.1</v>
      </c>
      <c r="I7" s="1">
        <v>0.35</v>
      </c>
      <c r="J7" s="1">
        <v>2.5</v>
      </c>
      <c r="K7" s="1" t="s">
        <v>15</v>
      </c>
      <c r="L7" s="1">
        <v>0.25</v>
      </c>
    </row>
    <row r="8" spans="3:12" ht="27" thickBot="1" x14ac:dyDescent="0.35">
      <c r="C8" s="11">
        <v>222</v>
      </c>
      <c r="D8" s="1">
        <v>2</v>
      </c>
      <c r="E8" s="1">
        <v>1.5</v>
      </c>
      <c r="F8" s="1" t="s">
        <v>59</v>
      </c>
      <c r="G8" s="1">
        <v>0.5</v>
      </c>
      <c r="H8" s="1" t="s">
        <v>60</v>
      </c>
      <c r="I8" s="1">
        <v>0.5</v>
      </c>
      <c r="J8" s="1">
        <v>0.4</v>
      </c>
      <c r="K8" s="1" t="s">
        <v>15</v>
      </c>
      <c r="L8" s="1">
        <v>0.25</v>
      </c>
    </row>
    <row r="9" spans="3:12" ht="27" thickBot="1" x14ac:dyDescent="0.35">
      <c r="C9" s="1">
        <v>336</v>
      </c>
      <c r="D9" s="1" t="s">
        <v>20</v>
      </c>
      <c r="E9" s="1">
        <v>0.9</v>
      </c>
      <c r="F9" s="1" t="s">
        <v>21</v>
      </c>
      <c r="G9" s="1">
        <v>0.35</v>
      </c>
      <c r="H9" s="1" t="s">
        <v>22</v>
      </c>
      <c r="I9" s="1" t="s">
        <v>23</v>
      </c>
      <c r="J9" s="1">
        <v>0.35</v>
      </c>
      <c r="K9" s="1" t="s">
        <v>15</v>
      </c>
      <c r="L9" s="1">
        <v>0.25</v>
      </c>
    </row>
    <row r="10" spans="3:12" ht="27" thickBot="1" x14ac:dyDescent="0.35">
      <c r="C10" s="1" t="s">
        <v>24</v>
      </c>
      <c r="D10" s="1">
        <v>0.2</v>
      </c>
      <c r="E10" s="1">
        <v>0.2</v>
      </c>
      <c r="F10" s="1">
        <v>0.1</v>
      </c>
      <c r="G10" s="1" t="s">
        <v>25</v>
      </c>
      <c r="H10" s="1" t="s">
        <v>26</v>
      </c>
      <c r="I10" s="1" t="s">
        <v>15</v>
      </c>
      <c r="J10" s="1" t="s">
        <v>15</v>
      </c>
      <c r="K10" s="1" t="s">
        <v>15</v>
      </c>
      <c r="L10" s="1">
        <v>0.25</v>
      </c>
    </row>
    <row r="11" spans="3:12" ht="15" thickBot="1" x14ac:dyDescent="0.35">
      <c r="C11" s="1">
        <v>853.2</v>
      </c>
      <c r="D11" s="1" t="s">
        <v>27</v>
      </c>
      <c r="E11" s="1">
        <v>0.5</v>
      </c>
      <c r="F11" s="1" t="s">
        <v>28</v>
      </c>
      <c r="G11" s="1">
        <v>0.1</v>
      </c>
      <c r="H11" s="1" t="s">
        <v>15</v>
      </c>
      <c r="I11" s="1" t="s">
        <v>15</v>
      </c>
      <c r="J11" s="1" t="s">
        <v>15</v>
      </c>
      <c r="K11" s="1" t="s">
        <v>29</v>
      </c>
      <c r="L11" s="1">
        <v>0.2</v>
      </c>
    </row>
    <row r="12" spans="3:12" ht="15" thickBot="1" x14ac:dyDescent="0.35">
      <c r="C12" s="1">
        <v>100.1</v>
      </c>
      <c r="D12" s="1">
        <v>0.15</v>
      </c>
      <c r="E12" s="1" t="s">
        <v>30</v>
      </c>
      <c r="F12" s="1">
        <v>0.1</v>
      </c>
      <c r="G12" s="1" t="s">
        <v>15</v>
      </c>
      <c r="H12" s="1" t="s">
        <v>15</v>
      </c>
      <c r="I12" s="1" t="s">
        <v>15</v>
      </c>
      <c r="J12" s="1">
        <v>0.05</v>
      </c>
      <c r="K12" s="1" t="s">
        <v>15</v>
      </c>
      <c r="L12" s="1" t="s">
        <v>15</v>
      </c>
    </row>
    <row r="13" spans="3:12" ht="15" thickBot="1" x14ac:dyDescent="0.35">
      <c r="C13" s="1" t="s">
        <v>31</v>
      </c>
      <c r="D13" s="1">
        <v>20</v>
      </c>
      <c r="E13" s="1">
        <v>0.45</v>
      </c>
      <c r="F13" s="1"/>
      <c r="G13" s="1"/>
      <c r="H13" s="1"/>
      <c r="I13" s="1"/>
      <c r="J13" s="1"/>
      <c r="K13" s="1"/>
      <c r="L13" s="1"/>
    </row>
    <row r="14" spans="3:12" ht="27" thickBot="1" x14ac:dyDescent="0.35">
      <c r="C14" s="1" t="s">
        <v>32</v>
      </c>
      <c r="D14" s="1"/>
      <c r="E14" s="1"/>
      <c r="F14" s="1"/>
      <c r="G14" s="1">
        <v>30</v>
      </c>
      <c r="H14" s="1"/>
      <c r="I14" s="1"/>
      <c r="J14" s="1"/>
      <c r="K14" s="1"/>
      <c r="L14" s="1"/>
    </row>
    <row r="15" spans="3:12" ht="27" thickBot="1" x14ac:dyDescent="0.35">
      <c r="C15" s="1" t="s">
        <v>33</v>
      </c>
      <c r="D15" s="1"/>
      <c r="E15" s="1"/>
      <c r="F15" s="1"/>
      <c r="G15" s="1"/>
      <c r="H15" s="1">
        <v>20</v>
      </c>
      <c r="I15" s="1"/>
      <c r="J15" s="1"/>
      <c r="K15" s="1"/>
      <c r="L15" s="1"/>
    </row>
    <row r="16" spans="3:12" ht="40.200000000000003" thickBot="1" x14ac:dyDescent="0.35">
      <c r="C16" s="1" t="s">
        <v>34</v>
      </c>
      <c r="D16" s="1"/>
      <c r="E16" s="1"/>
      <c r="F16" s="1">
        <v>99.99</v>
      </c>
      <c r="G16" s="1"/>
      <c r="H16" s="1"/>
      <c r="I16" s="1"/>
      <c r="J16" s="1"/>
      <c r="K16" s="1"/>
      <c r="L16" s="1"/>
    </row>
    <row r="17" spans="3:13" ht="15" thickBot="1" x14ac:dyDescent="0.35">
      <c r="C17" s="1" t="s">
        <v>35</v>
      </c>
      <c r="D17" s="1"/>
      <c r="E17" s="1"/>
      <c r="F17" s="1"/>
      <c r="G17" s="1"/>
      <c r="H17" s="1"/>
      <c r="I17" s="1">
        <v>49.5</v>
      </c>
      <c r="J17" s="1"/>
      <c r="K17" s="1"/>
      <c r="L17" s="1"/>
    </row>
    <row r="20" spans="3:13" x14ac:dyDescent="0.3">
      <c r="C20" s="16" t="s">
        <v>0</v>
      </c>
      <c r="D20" s="16" t="s">
        <v>1</v>
      </c>
      <c r="E20" s="16"/>
      <c r="F20" s="16"/>
      <c r="G20" s="16"/>
      <c r="H20" s="16"/>
      <c r="I20" s="16"/>
      <c r="J20" s="16"/>
      <c r="K20" s="16"/>
      <c r="L20" s="16"/>
    </row>
    <row r="21" spans="3:13" x14ac:dyDescent="0.3">
      <c r="C21" s="16"/>
      <c r="D21" s="4" t="s">
        <v>2</v>
      </c>
      <c r="E21" s="4" t="s">
        <v>3</v>
      </c>
      <c r="F21" s="4" t="s">
        <v>4</v>
      </c>
      <c r="G21" s="4" t="s">
        <v>5</v>
      </c>
      <c r="H21" s="5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36</v>
      </c>
    </row>
    <row r="22" spans="3:13" x14ac:dyDescent="0.3">
      <c r="C22" s="4">
        <v>240</v>
      </c>
      <c r="D22" s="4">
        <f>D5/4</f>
        <v>0.125</v>
      </c>
      <c r="E22" s="4">
        <f>E5/4</f>
        <v>0.125</v>
      </c>
      <c r="F22" s="7">
        <v>8</v>
      </c>
      <c r="G22" s="7">
        <v>0.5</v>
      </c>
      <c r="H22" s="7">
        <v>5.55</v>
      </c>
      <c r="I22" s="7">
        <v>0.5</v>
      </c>
      <c r="J22" s="4">
        <f>J5/4</f>
        <v>2.5000000000000001E-2</v>
      </c>
      <c r="K22" s="4">
        <v>0</v>
      </c>
      <c r="L22" s="4">
        <v>0</v>
      </c>
      <c r="M22" s="4">
        <f>100-SUM(D22:L22)</f>
        <v>85.174999999999997</v>
      </c>
    </row>
    <row r="23" spans="3:13" x14ac:dyDescent="0.3">
      <c r="C23" s="4">
        <v>2219</v>
      </c>
      <c r="D23" s="4">
        <f>D6/4</f>
        <v>0.05</v>
      </c>
      <c r="E23" s="4">
        <f>E6/4</f>
        <v>7.4999999999999997E-2</v>
      </c>
      <c r="F23" s="4">
        <v>6.3</v>
      </c>
      <c r="G23" s="4">
        <v>0.3</v>
      </c>
      <c r="H23" s="4">
        <f>H6/4</f>
        <v>5.0000000000000001E-3</v>
      </c>
      <c r="I23" s="4">
        <v>0</v>
      </c>
      <c r="J23" s="4">
        <f>J6/4</f>
        <v>2.5000000000000001E-2</v>
      </c>
      <c r="K23" s="4">
        <v>0</v>
      </c>
      <c r="L23" s="4">
        <v>0</v>
      </c>
      <c r="M23" s="4">
        <f t="shared" ref="M23:M34" si="0">100-SUM(D23:L23)</f>
        <v>93.245000000000005</v>
      </c>
    </row>
    <row r="24" spans="3:13" x14ac:dyDescent="0.3">
      <c r="C24" s="8">
        <v>213</v>
      </c>
      <c r="D24" s="4">
        <v>2</v>
      </c>
      <c r="E24" s="4">
        <f>E7/4</f>
        <v>0.3</v>
      </c>
      <c r="F24" s="4">
        <v>7</v>
      </c>
      <c r="G24" s="4">
        <f>G7/4</f>
        <v>0.15</v>
      </c>
      <c r="H24" s="5">
        <f>H7</f>
        <v>0.1</v>
      </c>
      <c r="I24" s="4">
        <f>I7/4</f>
        <v>8.7499999999999994E-2</v>
      </c>
      <c r="J24" s="4">
        <f>J7/4</f>
        <v>0.625</v>
      </c>
      <c r="K24" s="4">
        <v>0</v>
      </c>
      <c r="L24" s="4">
        <v>0</v>
      </c>
      <c r="M24" s="4">
        <f t="shared" si="0"/>
        <v>89.737499999999997</v>
      </c>
    </row>
    <row r="25" spans="3:13" x14ac:dyDescent="0.3">
      <c r="C25" s="9">
        <v>222</v>
      </c>
      <c r="D25" s="4">
        <f>D8/4</f>
        <v>0.5</v>
      </c>
      <c r="E25" s="4">
        <f>E8/4</f>
        <v>0.375</v>
      </c>
      <c r="F25" s="4">
        <f>(9.2+10.7)/2</f>
        <v>9.9499999999999993</v>
      </c>
      <c r="G25" s="4">
        <f>G8/4</f>
        <v>0.125</v>
      </c>
      <c r="H25" s="4">
        <v>0.3</v>
      </c>
      <c r="I25" s="4">
        <f>I8/4</f>
        <v>0.125</v>
      </c>
      <c r="J25" s="4">
        <f>J8/4</f>
        <v>0.1</v>
      </c>
      <c r="K25" s="4">
        <v>0</v>
      </c>
      <c r="L25" s="4">
        <v>0</v>
      </c>
      <c r="M25" s="4">
        <f t="shared" si="0"/>
        <v>88.525000000000006</v>
      </c>
    </row>
    <row r="26" spans="3:13" x14ac:dyDescent="0.3">
      <c r="C26" s="4">
        <v>336</v>
      </c>
      <c r="D26" s="4">
        <v>12</v>
      </c>
      <c r="E26" s="4">
        <f>E9/4</f>
        <v>0.22500000000000001</v>
      </c>
      <c r="F26" s="4">
        <v>1</v>
      </c>
      <c r="G26" s="4">
        <f>G9/4</f>
        <v>8.7499999999999994E-2</v>
      </c>
      <c r="H26" s="4">
        <v>1.05</v>
      </c>
      <c r="I26" s="4">
        <v>2.5</v>
      </c>
      <c r="J26" s="4">
        <f>J9/4</f>
        <v>8.7499999999999994E-2</v>
      </c>
      <c r="K26" s="4">
        <v>0</v>
      </c>
      <c r="L26" s="4">
        <v>0</v>
      </c>
      <c r="M26" s="4">
        <f t="shared" si="0"/>
        <v>83.05</v>
      </c>
    </row>
    <row r="27" spans="3:13" x14ac:dyDescent="0.3">
      <c r="C27" s="8" t="s">
        <v>24</v>
      </c>
      <c r="D27" s="4">
        <f>D10/4</f>
        <v>0.05</v>
      </c>
      <c r="E27" s="4">
        <f>E10/4</f>
        <v>0.05</v>
      </c>
      <c r="F27" s="4">
        <f>F10/4</f>
        <v>2.5000000000000001E-2</v>
      </c>
      <c r="G27" s="4">
        <v>0.17499999999999999</v>
      </c>
      <c r="H27" s="5">
        <v>7.5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92.2</v>
      </c>
    </row>
    <row r="28" spans="3:13" x14ac:dyDescent="0.3">
      <c r="C28" s="4">
        <v>853.2</v>
      </c>
      <c r="D28" s="4">
        <v>6</v>
      </c>
      <c r="E28" s="4">
        <f>E11/4</f>
        <v>0.125</v>
      </c>
      <c r="F28" s="4">
        <v>3.5</v>
      </c>
      <c r="G28" s="4">
        <f>G11/4</f>
        <v>2.5000000000000001E-2</v>
      </c>
      <c r="H28" s="4">
        <v>0</v>
      </c>
      <c r="I28" s="4">
        <v>0</v>
      </c>
      <c r="J28" s="4">
        <v>0</v>
      </c>
      <c r="K28" s="4">
        <v>6.25</v>
      </c>
      <c r="L28" s="4">
        <v>0</v>
      </c>
      <c r="M28" s="4">
        <f t="shared" si="0"/>
        <v>84.1</v>
      </c>
    </row>
    <row r="29" spans="3:13" x14ac:dyDescent="0.3">
      <c r="C29" s="4">
        <v>100.1</v>
      </c>
      <c r="D29" s="4">
        <f>D12/4</f>
        <v>3.7499999999999999E-2</v>
      </c>
      <c r="E29" s="4">
        <v>0.7</v>
      </c>
      <c r="F29" s="4">
        <f>F12/4</f>
        <v>2.5000000000000001E-2</v>
      </c>
      <c r="G29" s="4">
        <v>0</v>
      </c>
      <c r="H29" s="4">
        <v>0</v>
      </c>
      <c r="I29" s="4">
        <v>0</v>
      </c>
      <c r="J29" s="4">
        <f>J12/4</f>
        <v>1.2500000000000001E-2</v>
      </c>
      <c r="K29" s="4">
        <v>0</v>
      </c>
      <c r="L29" s="4">
        <v>0</v>
      </c>
      <c r="M29" s="4">
        <f t="shared" si="0"/>
        <v>99.224999999999994</v>
      </c>
    </row>
    <row r="30" spans="3:13" x14ac:dyDescent="0.3">
      <c r="C30" s="4" t="s">
        <v>31</v>
      </c>
      <c r="D30" s="4">
        <v>20</v>
      </c>
      <c r="E30" s="4">
        <f>E13/4</f>
        <v>0.1125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79.887500000000003</v>
      </c>
    </row>
    <row r="31" spans="3:13" ht="26.4" x14ac:dyDescent="0.3">
      <c r="C31" s="4" t="s">
        <v>32</v>
      </c>
      <c r="D31" s="4">
        <v>0</v>
      </c>
      <c r="E31" s="4">
        <v>0</v>
      </c>
      <c r="F31" s="4">
        <v>0</v>
      </c>
      <c r="G31" s="4">
        <v>30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70</v>
      </c>
    </row>
    <row r="32" spans="3:13" ht="26.4" x14ac:dyDescent="0.3">
      <c r="C32" s="4" t="s">
        <v>33</v>
      </c>
      <c r="D32" s="4">
        <v>0</v>
      </c>
      <c r="E32" s="4">
        <v>0</v>
      </c>
      <c r="F32" s="4">
        <v>0</v>
      </c>
      <c r="G32" s="4">
        <v>0</v>
      </c>
      <c r="H32" s="4">
        <v>20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80</v>
      </c>
    </row>
    <row r="33" spans="2:13" ht="39.6" x14ac:dyDescent="0.3">
      <c r="C33" s="4" t="s">
        <v>34</v>
      </c>
      <c r="D33" s="4">
        <v>0</v>
      </c>
      <c r="E33" s="4">
        <v>0</v>
      </c>
      <c r="F33" s="4">
        <v>99.99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1.0000000000005116E-2</v>
      </c>
    </row>
    <row r="34" spans="2:13" x14ac:dyDescent="0.3">
      <c r="C34" s="4" t="s">
        <v>35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49.5</v>
      </c>
      <c r="J34" s="4">
        <v>0</v>
      </c>
      <c r="K34" s="4">
        <v>0</v>
      </c>
      <c r="L34" s="4">
        <v>0</v>
      </c>
      <c r="M34" s="4">
        <f t="shared" si="0"/>
        <v>50.5</v>
      </c>
    </row>
    <row r="35" spans="2:13" ht="26.4" x14ac:dyDescent="0.3">
      <c r="C35" s="4" t="s">
        <v>37</v>
      </c>
      <c r="D35" s="4">
        <v>96</v>
      </c>
      <c r="E35" s="4">
        <v>100</v>
      </c>
      <c r="F35" s="4">
        <v>100</v>
      </c>
      <c r="G35" s="4">
        <v>97</v>
      </c>
      <c r="H35" s="4">
        <v>93</v>
      </c>
      <c r="I35" s="4">
        <v>100</v>
      </c>
      <c r="J35" s="4">
        <v>99</v>
      </c>
      <c r="K35" s="4">
        <v>99</v>
      </c>
      <c r="L35" s="4">
        <v>92</v>
      </c>
      <c r="M35" s="4">
        <v>94</v>
      </c>
    </row>
    <row r="37" spans="2:13" x14ac:dyDescent="0.3">
      <c r="B37" t="s">
        <v>38</v>
      </c>
    </row>
    <row r="38" spans="2:13" x14ac:dyDescent="0.3">
      <c r="B38">
        <v>250</v>
      </c>
      <c r="C38" s="2" t="s">
        <v>39</v>
      </c>
    </row>
    <row r="40" spans="2:13" x14ac:dyDescent="0.3">
      <c r="C40" s="6" t="s">
        <v>40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4" t="s">
        <v>7</v>
      </c>
      <c r="J40" s="4" t="s">
        <v>8</v>
      </c>
      <c r="K40" s="4" t="s">
        <v>9</v>
      </c>
      <c r="L40" s="4" t="s">
        <v>10</v>
      </c>
      <c r="M40" s="4" t="s">
        <v>36</v>
      </c>
    </row>
    <row r="41" spans="2:13" x14ac:dyDescent="0.3">
      <c r="C41" s="6" t="s">
        <v>41</v>
      </c>
      <c r="D41" s="10">
        <f>($B$38*(D22/100))/(D35/100)</f>
        <v>0.32552083333333337</v>
      </c>
      <c r="E41" s="10">
        <f t="shared" ref="E41:M41" si="1">($B$38*(E22/100))/(E35/100)</f>
        <v>0.3125</v>
      </c>
      <c r="F41" s="10">
        <f t="shared" si="1"/>
        <v>20</v>
      </c>
      <c r="G41" s="10">
        <f t="shared" si="1"/>
        <v>1.2886597938144331</v>
      </c>
      <c r="H41" s="10">
        <f>($B$38*(H22/100))/(H35/100)</f>
        <v>14.919354838709676</v>
      </c>
      <c r="I41" s="10">
        <f t="shared" si="1"/>
        <v>1.25</v>
      </c>
      <c r="J41" s="10">
        <f t="shared" si="1"/>
        <v>6.3131313131313135E-2</v>
      </c>
      <c r="K41" s="10">
        <f t="shared" si="1"/>
        <v>0</v>
      </c>
      <c r="L41" s="10">
        <f t="shared" si="1"/>
        <v>0</v>
      </c>
      <c r="M41" s="10">
        <f t="shared" si="1"/>
        <v>226.52925531914894</v>
      </c>
    </row>
    <row r="44" spans="2:13" x14ac:dyDescent="0.3">
      <c r="B44" t="s">
        <v>42</v>
      </c>
      <c r="C44">
        <v>15</v>
      </c>
      <c r="D44" t="s">
        <v>43</v>
      </c>
      <c r="E44">
        <f>$B$38*(C44/100)</f>
        <v>37.5</v>
      </c>
      <c r="F44" t="s">
        <v>41</v>
      </c>
    </row>
    <row r="45" spans="2:13" x14ac:dyDescent="0.3">
      <c r="B45" t="s">
        <v>44</v>
      </c>
      <c r="C45">
        <v>12</v>
      </c>
      <c r="D45" t="s">
        <v>43</v>
      </c>
      <c r="E45">
        <f>$B$38*(C45/100)</f>
        <v>30</v>
      </c>
      <c r="F45" t="s">
        <v>41</v>
      </c>
    </row>
    <row r="47" spans="2:13" x14ac:dyDescent="0.3">
      <c r="C47" s="6" t="s">
        <v>54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4" t="s">
        <v>7</v>
      </c>
      <c r="J47" s="4" t="s">
        <v>8</v>
      </c>
      <c r="K47" s="4" t="s">
        <v>9</v>
      </c>
      <c r="L47" s="4" t="s">
        <v>10</v>
      </c>
      <c r="M47" s="4" t="s">
        <v>36</v>
      </c>
    </row>
    <row r="48" spans="2:13" x14ac:dyDescent="0.3">
      <c r="C48" s="6" t="s">
        <v>42</v>
      </c>
      <c r="D48" s="12">
        <f>$E$44*(D22/100)</f>
        <v>4.6875E-2</v>
      </c>
      <c r="E48" s="12">
        <f t="shared" ref="E48:M48" si="2">$E$44*(E22/100)</f>
        <v>4.6875E-2</v>
      </c>
      <c r="F48" s="12">
        <f t="shared" si="2"/>
        <v>3</v>
      </c>
      <c r="G48" s="12">
        <f t="shared" si="2"/>
        <v>0.1875</v>
      </c>
      <c r="H48" s="12">
        <f t="shared" si="2"/>
        <v>2.0812499999999998</v>
      </c>
      <c r="I48" s="12">
        <f t="shared" si="2"/>
        <v>0.1875</v>
      </c>
      <c r="J48" s="12">
        <f t="shared" si="2"/>
        <v>9.3749999999999997E-3</v>
      </c>
      <c r="K48" s="12">
        <f t="shared" si="2"/>
        <v>0</v>
      </c>
      <c r="L48" s="12">
        <f t="shared" si="2"/>
        <v>0</v>
      </c>
      <c r="M48" s="12">
        <f t="shared" si="2"/>
        <v>31.940625000000001</v>
      </c>
    </row>
    <row r="49" spans="2:13" x14ac:dyDescent="0.3">
      <c r="C49" s="6" t="s">
        <v>44</v>
      </c>
      <c r="D49" s="12">
        <f>$E$45*(D23/100)</f>
        <v>1.4999999999999999E-2</v>
      </c>
      <c r="E49" s="12">
        <f t="shared" ref="E49:M49" si="3">$E$45*(E23/100)</f>
        <v>2.2499999999999999E-2</v>
      </c>
      <c r="F49" s="12">
        <f t="shared" si="3"/>
        <v>1.8900000000000001</v>
      </c>
      <c r="G49" s="12">
        <f t="shared" si="3"/>
        <v>0.09</v>
      </c>
      <c r="H49" s="12">
        <f t="shared" si="3"/>
        <v>1.5E-3</v>
      </c>
      <c r="I49" s="12">
        <f t="shared" si="3"/>
        <v>0</v>
      </c>
      <c r="J49" s="12">
        <f t="shared" si="3"/>
        <v>7.4999999999999997E-3</v>
      </c>
      <c r="K49" s="12">
        <f t="shared" si="3"/>
        <v>0</v>
      </c>
      <c r="L49" s="12">
        <f t="shared" si="3"/>
        <v>0</v>
      </c>
      <c r="M49" s="12">
        <f t="shared" si="3"/>
        <v>27.973500000000001</v>
      </c>
    </row>
    <row r="52" spans="2:13" x14ac:dyDescent="0.3">
      <c r="C52" s="6" t="s">
        <v>45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4" t="s">
        <v>7</v>
      </c>
      <c r="J52" s="4" t="s">
        <v>8</v>
      </c>
      <c r="K52" s="4" t="s">
        <v>9</v>
      </c>
      <c r="L52" s="4" t="s">
        <v>10</v>
      </c>
      <c r="M52" s="4" t="s">
        <v>36</v>
      </c>
    </row>
    <row r="53" spans="2:13" x14ac:dyDescent="0.3">
      <c r="C53" s="6" t="s">
        <v>41</v>
      </c>
      <c r="D53" s="12">
        <f>D41-SUM(D48:D49)</f>
        <v>0.26364583333333336</v>
      </c>
      <c r="E53" s="12">
        <f t="shared" ref="E53:M53" si="4">E41-SUM(E48:E49)</f>
        <v>0.24312500000000001</v>
      </c>
      <c r="F53" s="12">
        <f t="shared" si="4"/>
        <v>15.11</v>
      </c>
      <c r="G53" s="12">
        <f t="shared" si="4"/>
        <v>1.011159793814433</v>
      </c>
      <c r="H53" s="12">
        <f>H41-SUM(H48:H49)</f>
        <v>12.836604838709675</v>
      </c>
      <c r="I53" s="12">
        <f t="shared" si="4"/>
        <v>1.0625</v>
      </c>
      <c r="J53" s="12">
        <f t="shared" si="4"/>
        <v>4.6256313131313134E-2</v>
      </c>
      <c r="K53" s="12">
        <f t="shared" si="4"/>
        <v>0</v>
      </c>
      <c r="L53" s="12">
        <f t="shared" si="4"/>
        <v>0</v>
      </c>
      <c r="M53" s="12">
        <f t="shared" si="4"/>
        <v>166.61513031914893</v>
      </c>
    </row>
    <row r="56" spans="2:13" x14ac:dyDescent="0.3">
      <c r="B56" t="s">
        <v>46</v>
      </c>
      <c r="G56" t="s">
        <v>49</v>
      </c>
    </row>
    <row r="57" spans="2:13" x14ac:dyDescent="0.3">
      <c r="C57">
        <f>C25</f>
        <v>222</v>
      </c>
      <c r="D57" t="str">
        <f>C27</f>
        <v>A535.0</v>
      </c>
      <c r="E57" t="str">
        <f>B44</f>
        <v>Retornos</v>
      </c>
      <c r="F57" t="str">
        <f>B45</f>
        <v>Ch 2219</v>
      </c>
      <c r="G57">
        <f>C22</f>
        <v>240</v>
      </c>
    </row>
    <row r="58" spans="2:13" x14ac:dyDescent="0.3">
      <c r="C58" t="s">
        <v>48</v>
      </c>
      <c r="D58" t="s">
        <v>47</v>
      </c>
      <c r="E58">
        <f>E44</f>
        <v>37.5</v>
      </c>
      <c r="F58">
        <f>E45</f>
        <v>30</v>
      </c>
      <c r="G58">
        <f>B38</f>
        <v>250</v>
      </c>
    </row>
    <row r="61" spans="2:13" x14ac:dyDescent="0.3">
      <c r="B61" t="s">
        <v>52</v>
      </c>
      <c r="D61">
        <v>1</v>
      </c>
      <c r="E61" t="str">
        <f>C58</f>
        <v>m2</v>
      </c>
      <c r="F61" t="s">
        <v>50</v>
      </c>
      <c r="G61">
        <v>1</v>
      </c>
      <c r="H61" t="str">
        <f>D58</f>
        <v>m1</v>
      </c>
      <c r="I61" t="s">
        <v>51</v>
      </c>
      <c r="J61">
        <f>G58-F58-E58</f>
        <v>182.5</v>
      </c>
    </row>
    <row r="64" spans="2:13" x14ac:dyDescent="0.3">
      <c r="B64" t="s">
        <v>53</v>
      </c>
      <c r="D64">
        <f>H27/100</f>
        <v>7.4999999999999997E-2</v>
      </c>
      <c r="E64" t="str">
        <f>C58</f>
        <v>m2</v>
      </c>
      <c r="F64" t="s">
        <v>50</v>
      </c>
      <c r="G64">
        <f>H25/100</f>
        <v>3.0000000000000001E-3</v>
      </c>
      <c r="H64" t="str">
        <f>D58</f>
        <v>m1</v>
      </c>
      <c r="I64" t="s">
        <v>51</v>
      </c>
      <c r="J64" s="13">
        <f>H53</f>
        <v>12.836604838709675</v>
      </c>
    </row>
    <row r="67" spans="3:13" x14ac:dyDescent="0.3">
      <c r="E67">
        <f>D61</f>
        <v>1</v>
      </c>
      <c r="F67">
        <f>G61</f>
        <v>1</v>
      </c>
      <c r="G67">
        <f>J61</f>
        <v>182.5</v>
      </c>
    </row>
    <row r="68" spans="3:13" x14ac:dyDescent="0.3">
      <c r="E68">
        <f>D64</f>
        <v>7.4999999999999997E-2</v>
      </c>
      <c r="F68">
        <f>G64</f>
        <v>3.0000000000000001E-3</v>
      </c>
      <c r="G68" s="13">
        <f>J64</f>
        <v>12.836604838709675</v>
      </c>
    </row>
    <row r="70" spans="3:13" x14ac:dyDescent="0.3">
      <c r="E70">
        <f>E67</f>
        <v>1</v>
      </c>
      <c r="F70">
        <f t="shared" ref="F70:G70" si="5">F67</f>
        <v>1</v>
      </c>
      <c r="G70">
        <f t="shared" si="5"/>
        <v>182.5</v>
      </c>
    </row>
    <row r="71" spans="3:13" x14ac:dyDescent="0.3">
      <c r="E71">
        <f>E67-(E68/$E$68)</f>
        <v>0</v>
      </c>
      <c r="F71">
        <f t="shared" ref="F71:G71" si="6">F67-(F68/$E$68)</f>
        <v>0.96</v>
      </c>
      <c r="G71">
        <f t="shared" si="6"/>
        <v>11.345268817204328</v>
      </c>
    </row>
    <row r="73" spans="3:13" x14ac:dyDescent="0.3">
      <c r="E73">
        <f>E70</f>
        <v>1</v>
      </c>
      <c r="F73">
        <f t="shared" ref="F73:G73" si="7">F70</f>
        <v>1</v>
      </c>
      <c r="G73">
        <f t="shared" si="7"/>
        <v>182.5</v>
      </c>
    </row>
    <row r="74" spans="3:13" x14ac:dyDescent="0.3">
      <c r="E74">
        <f>E71/$F$71</f>
        <v>0</v>
      </c>
      <c r="F74">
        <f t="shared" ref="F74:G74" si="8">F71/$F$71</f>
        <v>1</v>
      </c>
      <c r="G74">
        <f t="shared" si="8"/>
        <v>11.81798835125451</v>
      </c>
    </row>
    <row r="76" spans="3:13" x14ac:dyDescent="0.3">
      <c r="E76">
        <f>E73-E74</f>
        <v>1</v>
      </c>
      <c r="F76">
        <f t="shared" ref="F76:G76" si="9">F73-F74</f>
        <v>0</v>
      </c>
      <c r="G76">
        <f t="shared" si="9"/>
        <v>170.68201164874549</v>
      </c>
      <c r="H76" t="str">
        <f>D58</f>
        <v>m1</v>
      </c>
      <c r="I76" t="str">
        <f>D57</f>
        <v>A535.0</v>
      </c>
    </row>
    <row r="77" spans="3:13" x14ac:dyDescent="0.3">
      <c r="E77">
        <f>E74</f>
        <v>0</v>
      </c>
      <c r="F77">
        <f t="shared" ref="F77:G77" si="10">F74</f>
        <v>1</v>
      </c>
      <c r="G77">
        <f t="shared" si="10"/>
        <v>11.81798835125451</v>
      </c>
      <c r="H77" t="str">
        <f>C58</f>
        <v>m2</v>
      </c>
      <c r="I77">
        <f>C57</f>
        <v>222</v>
      </c>
    </row>
    <row r="80" spans="3:13" x14ac:dyDescent="0.3">
      <c r="C80" s="6" t="s">
        <v>54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6</v>
      </c>
      <c r="I80" s="4" t="s">
        <v>7</v>
      </c>
      <c r="J80" s="4" t="s">
        <v>8</v>
      </c>
      <c r="K80" s="4" t="s">
        <v>9</v>
      </c>
      <c r="L80" s="4" t="s">
        <v>10</v>
      </c>
      <c r="M80" s="4" t="s">
        <v>36</v>
      </c>
    </row>
    <row r="81" spans="3:13" x14ac:dyDescent="0.3">
      <c r="C81" s="6" t="s">
        <v>42</v>
      </c>
      <c r="D81" s="12">
        <f>D48</f>
        <v>4.6875E-2</v>
      </c>
      <c r="E81" s="12">
        <f t="shared" ref="E81:M82" si="11">E48</f>
        <v>4.6875E-2</v>
      </c>
      <c r="F81" s="12">
        <f t="shared" si="11"/>
        <v>3</v>
      </c>
      <c r="G81" s="12">
        <f t="shared" si="11"/>
        <v>0.1875</v>
      </c>
      <c r="H81" s="12">
        <f t="shared" si="11"/>
        <v>2.0812499999999998</v>
      </c>
      <c r="I81" s="12">
        <f t="shared" si="11"/>
        <v>0.1875</v>
      </c>
      <c r="J81" s="12">
        <f t="shared" si="11"/>
        <v>9.3749999999999997E-3</v>
      </c>
      <c r="K81" s="12">
        <f t="shared" si="11"/>
        <v>0</v>
      </c>
      <c r="L81" s="12">
        <f t="shared" si="11"/>
        <v>0</v>
      </c>
      <c r="M81" s="12">
        <f t="shared" si="11"/>
        <v>31.940625000000001</v>
      </c>
    </row>
    <row r="82" spans="3:13" x14ac:dyDescent="0.3">
      <c r="C82" s="6" t="s">
        <v>44</v>
      </c>
      <c r="D82" s="12">
        <f>D49</f>
        <v>1.4999999999999999E-2</v>
      </c>
      <c r="E82" s="12">
        <f t="shared" si="11"/>
        <v>2.2499999999999999E-2</v>
      </c>
      <c r="F82" s="12">
        <f t="shared" si="11"/>
        <v>1.8900000000000001</v>
      </c>
      <c r="G82" s="12">
        <f t="shared" si="11"/>
        <v>0.09</v>
      </c>
      <c r="H82" s="12">
        <f t="shared" si="11"/>
        <v>1.5E-3</v>
      </c>
      <c r="I82" s="12">
        <f t="shared" si="11"/>
        <v>0</v>
      </c>
      <c r="J82" s="12">
        <f t="shared" si="11"/>
        <v>7.4999999999999997E-3</v>
      </c>
      <c r="K82" s="12">
        <f t="shared" si="11"/>
        <v>0</v>
      </c>
      <c r="L82" s="12">
        <f t="shared" si="11"/>
        <v>0</v>
      </c>
      <c r="M82" s="12">
        <f t="shared" si="11"/>
        <v>27.973500000000001</v>
      </c>
    </row>
    <row r="83" spans="3:13" x14ac:dyDescent="0.3">
      <c r="C83" s="6" t="s">
        <v>61</v>
      </c>
      <c r="D83" s="12">
        <f>$G$77*(D25/100)</f>
        <v>5.9089941756272552E-2</v>
      </c>
      <c r="E83" s="12">
        <f t="shared" ref="E83:M83" si="12">$G$77*(E25/100)</f>
        <v>4.4317456317204407E-2</v>
      </c>
      <c r="F83" s="12">
        <f t="shared" si="12"/>
        <v>1.1758898409498235</v>
      </c>
      <c r="G83" s="12">
        <f t="shared" si="12"/>
        <v>1.4772485439068138E-2</v>
      </c>
      <c r="H83" s="12">
        <f>$G$77*(H25/100)</f>
        <v>3.5453965053763532E-2</v>
      </c>
      <c r="I83" s="12">
        <f t="shared" si="12"/>
        <v>1.4772485439068138E-2</v>
      </c>
      <c r="J83" s="12">
        <f t="shared" si="12"/>
        <v>1.181798835125451E-2</v>
      </c>
      <c r="K83" s="12">
        <f t="shared" si="12"/>
        <v>0</v>
      </c>
      <c r="L83" s="12">
        <f t="shared" si="12"/>
        <v>0</v>
      </c>
      <c r="M83" s="12">
        <f t="shared" si="12"/>
        <v>10.461874187948055</v>
      </c>
    </row>
    <row r="84" spans="3:13" x14ac:dyDescent="0.3">
      <c r="C84" s="6" t="s">
        <v>55</v>
      </c>
      <c r="D84" s="12">
        <f>$G$76*(D27/100)</f>
        <v>8.5341005824372748E-2</v>
      </c>
      <c r="E84" s="12">
        <f t="shared" ref="E84:M84" si="13">$G$76*(E27/100)</f>
        <v>8.5341005824372748E-2</v>
      </c>
      <c r="F84" s="12">
        <f t="shared" si="13"/>
        <v>4.2670502912186374E-2</v>
      </c>
      <c r="G84" s="12">
        <f t="shared" si="13"/>
        <v>0.29869352038530456</v>
      </c>
      <c r="H84" s="12">
        <f>$G$76*(H27/100)</f>
        <v>12.801150873655912</v>
      </c>
      <c r="I84" s="12">
        <f t="shared" si="13"/>
        <v>0</v>
      </c>
      <c r="J84" s="12">
        <f t="shared" si="13"/>
        <v>0</v>
      </c>
      <c r="K84" s="12">
        <f t="shared" si="13"/>
        <v>0</v>
      </c>
      <c r="L84" s="12">
        <f t="shared" si="13"/>
        <v>0</v>
      </c>
      <c r="M84" s="12">
        <f t="shared" si="13"/>
        <v>157.36881474014334</v>
      </c>
    </row>
    <row r="85" spans="3:13" x14ac:dyDescent="0.3">
      <c r="C85" s="6" t="s">
        <v>62</v>
      </c>
      <c r="D85" s="12">
        <f>SUM(D81:D84)</f>
        <v>0.2063059475806453</v>
      </c>
      <c r="E85" s="12">
        <f t="shared" ref="E85:M85" si="14">SUM(E81:E84)</f>
        <v>0.19903346214157713</v>
      </c>
      <c r="F85" s="12">
        <f t="shared" si="14"/>
        <v>6.1085603438620106</v>
      </c>
      <c r="G85" s="12">
        <f t="shared" si="14"/>
        <v>0.59096600582437264</v>
      </c>
      <c r="H85" s="12">
        <f>SUM(H81:H84)</f>
        <v>14.919354838709676</v>
      </c>
      <c r="I85" s="12">
        <f t="shared" si="14"/>
        <v>0.20227248543906814</v>
      </c>
      <c r="J85" s="12">
        <f t="shared" si="14"/>
        <v>2.8692988351254511E-2</v>
      </c>
      <c r="K85" s="12">
        <f t="shared" si="14"/>
        <v>0</v>
      </c>
      <c r="L85" s="12">
        <f t="shared" si="14"/>
        <v>0</v>
      </c>
      <c r="M85" s="12">
        <f t="shared" si="14"/>
        <v>227.74481392809139</v>
      </c>
    </row>
    <row r="86" spans="3:13" x14ac:dyDescent="0.3">
      <c r="C86" s="6" t="s">
        <v>56</v>
      </c>
      <c r="D86" s="12">
        <f>D41</f>
        <v>0.32552083333333337</v>
      </c>
      <c r="E86" s="12">
        <f t="shared" ref="E86:M86" si="15">E41</f>
        <v>0.3125</v>
      </c>
      <c r="F86" s="12">
        <f t="shared" si="15"/>
        <v>20</v>
      </c>
      <c r="G86" s="12">
        <f t="shared" si="15"/>
        <v>1.2886597938144331</v>
      </c>
      <c r="H86" s="12">
        <f>H41</f>
        <v>14.919354838709676</v>
      </c>
      <c r="I86" s="12">
        <f t="shared" si="15"/>
        <v>1.25</v>
      </c>
      <c r="J86" s="12">
        <f t="shared" si="15"/>
        <v>6.3131313131313135E-2</v>
      </c>
      <c r="K86" s="12">
        <f t="shared" si="15"/>
        <v>0</v>
      </c>
      <c r="L86" s="12">
        <f t="shared" si="15"/>
        <v>0</v>
      </c>
      <c r="M86" s="12">
        <f t="shared" si="15"/>
        <v>226.52925531914894</v>
      </c>
    </row>
    <row r="87" spans="3:13" x14ac:dyDescent="0.3">
      <c r="C87" s="6" t="s">
        <v>57</v>
      </c>
      <c r="D87" s="12">
        <f>D86-D85</f>
        <v>0.11921488575268807</v>
      </c>
      <c r="E87" s="12">
        <f t="shared" ref="E87:M87" si="16">E86-E85</f>
        <v>0.11346653785842287</v>
      </c>
      <c r="F87" s="12">
        <f t="shared" si="16"/>
        <v>13.89143965613799</v>
      </c>
      <c r="G87" s="12">
        <f t="shared" si="16"/>
        <v>0.69769378799006043</v>
      </c>
      <c r="H87" s="12">
        <f t="shared" si="16"/>
        <v>0</v>
      </c>
      <c r="I87" s="12">
        <f t="shared" si="16"/>
        <v>1.0477275145609319</v>
      </c>
      <c r="J87" s="12">
        <f t="shared" si="16"/>
        <v>3.4438324780058621E-2</v>
      </c>
      <c r="K87" s="12">
        <f t="shared" si="16"/>
        <v>0</v>
      </c>
      <c r="L87" s="12">
        <f t="shared" si="16"/>
        <v>0</v>
      </c>
      <c r="M87" s="12">
        <f t="shared" si="16"/>
        <v>-1.2155586089424446</v>
      </c>
    </row>
    <row r="89" spans="3:13" x14ac:dyDescent="0.3">
      <c r="C89" s="6" t="s">
        <v>58</v>
      </c>
      <c r="D89" s="10">
        <f t="shared" ref="D89:M89" si="17">(D85*(D35/100)/$B$38)*100</f>
        <v>7.9221483870967793E-2</v>
      </c>
      <c r="E89" s="10">
        <f t="shared" si="17"/>
        <v>7.9613384856630859E-2</v>
      </c>
      <c r="F89" s="10">
        <f t="shared" si="17"/>
        <v>2.4434241375448043</v>
      </c>
      <c r="G89" s="10">
        <f t="shared" si="17"/>
        <v>0.22929481025985654</v>
      </c>
      <c r="H89" s="10">
        <f>(H85*(H35/100)/$B$38)*100</f>
        <v>5.55</v>
      </c>
      <c r="I89" s="10">
        <f t="shared" si="17"/>
        <v>8.0908994175627261E-2</v>
      </c>
      <c r="J89" s="10">
        <f t="shared" si="17"/>
        <v>1.1362423387096787E-2</v>
      </c>
      <c r="K89" s="10">
        <f t="shared" si="17"/>
        <v>0</v>
      </c>
      <c r="L89" s="10">
        <f t="shared" si="17"/>
        <v>0</v>
      </c>
      <c r="M89" s="10">
        <f t="shared" si="17"/>
        <v>85.632050036962355</v>
      </c>
    </row>
    <row r="93" spans="3:13" x14ac:dyDescent="0.3">
      <c r="C93" t="s">
        <v>63</v>
      </c>
      <c r="I93" t="s">
        <v>65</v>
      </c>
    </row>
    <row r="94" spans="3:13" x14ac:dyDescent="0.3">
      <c r="D94" t="s">
        <v>64</v>
      </c>
      <c r="E94" s="13">
        <f>F87</f>
        <v>13.89143965613799</v>
      </c>
      <c r="F94" t="s">
        <v>41</v>
      </c>
      <c r="H94" t="str">
        <f>C33</f>
        <v>Cobre electrolítico</v>
      </c>
      <c r="I94">
        <f>E94/(F33/100)</f>
        <v>13.892828939031896</v>
      </c>
      <c r="J94" t="s">
        <v>41</v>
      </c>
    </row>
    <row r="96" spans="3:13" x14ac:dyDescent="0.3">
      <c r="C96" t="s">
        <v>66</v>
      </c>
      <c r="I96" t="s">
        <v>65</v>
      </c>
    </row>
    <row r="97" spans="3:14" x14ac:dyDescent="0.3">
      <c r="D97" t="s">
        <v>64</v>
      </c>
      <c r="E97" s="13">
        <f>G87</f>
        <v>0.69769378799006043</v>
      </c>
      <c r="F97" t="s">
        <v>41</v>
      </c>
      <c r="H97" t="str">
        <f>C31</f>
        <v>Al – 30 Mn</v>
      </c>
      <c r="I97">
        <f>E97/(G31/100)</f>
        <v>2.3256459599668684</v>
      </c>
      <c r="J97" t="s">
        <v>41</v>
      </c>
    </row>
    <row r="99" spans="3:14" x14ac:dyDescent="0.3">
      <c r="C99" t="s">
        <v>67</v>
      </c>
      <c r="I99" t="s">
        <v>65</v>
      </c>
    </row>
    <row r="100" spans="3:14" x14ac:dyDescent="0.3">
      <c r="D100" t="s">
        <v>64</v>
      </c>
      <c r="E100" s="13">
        <f>I87</f>
        <v>1.0477275145609319</v>
      </c>
      <c r="F100" t="s">
        <v>41</v>
      </c>
      <c r="H100" t="str">
        <f>C34</f>
        <v>Al – Ni</v>
      </c>
      <c r="I100">
        <f>E100/(I34/100)</f>
        <v>2.1166212415372363</v>
      </c>
      <c r="J100" t="s">
        <v>41</v>
      </c>
    </row>
    <row r="104" spans="3:14" x14ac:dyDescent="0.3">
      <c r="C104" s="6" t="s">
        <v>54</v>
      </c>
      <c r="D104" s="4" t="s">
        <v>2</v>
      </c>
      <c r="E104" s="4" t="s">
        <v>3</v>
      </c>
      <c r="F104" s="4" t="s">
        <v>4</v>
      </c>
      <c r="G104" s="4" t="s">
        <v>5</v>
      </c>
      <c r="H104" s="4" t="s">
        <v>6</v>
      </c>
      <c r="I104" s="4" t="s">
        <v>7</v>
      </c>
      <c r="J104" s="4" t="s">
        <v>8</v>
      </c>
      <c r="K104" s="4" t="s">
        <v>9</v>
      </c>
      <c r="L104" s="4" t="s">
        <v>10</v>
      </c>
      <c r="M104" s="4" t="s">
        <v>36</v>
      </c>
    </row>
    <row r="105" spans="3:14" x14ac:dyDescent="0.3">
      <c r="C105" s="6" t="s">
        <v>42</v>
      </c>
      <c r="D105" s="12">
        <f>D81</f>
        <v>4.6875E-2</v>
      </c>
      <c r="E105" s="12">
        <f t="shared" ref="E105:M105" si="18">E81</f>
        <v>4.6875E-2</v>
      </c>
      <c r="F105" s="12">
        <f t="shared" si="18"/>
        <v>3</v>
      </c>
      <c r="G105" s="12">
        <f t="shared" si="18"/>
        <v>0.1875</v>
      </c>
      <c r="H105" s="12">
        <f t="shared" si="18"/>
        <v>2.0812499999999998</v>
      </c>
      <c r="I105" s="12">
        <f t="shared" si="18"/>
        <v>0.1875</v>
      </c>
      <c r="J105" s="12">
        <f t="shared" si="18"/>
        <v>9.3749999999999997E-3</v>
      </c>
      <c r="K105" s="12">
        <f t="shared" si="18"/>
        <v>0</v>
      </c>
      <c r="L105" s="12">
        <f t="shared" si="18"/>
        <v>0</v>
      </c>
      <c r="M105" s="12">
        <f t="shared" si="18"/>
        <v>31.940625000000001</v>
      </c>
    </row>
    <row r="106" spans="3:14" x14ac:dyDescent="0.3">
      <c r="C106" s="6" t="s">
        <v>44</v>
      </c>
      <c r="D106" s="12">
        <f t="shared" ref="D106:M108" si="19">D82</f>
        <v>1.4999999999999999E-2</v>
      </c>
      <c r="E106" s="12">
        <f t="shared" si="19"/>
        <v>2.2499999999999999E-2</v>
      </c>
      <c r="F106" s="12">
        <f t="shared" si="19"/>
        <v>1.8900000000000001</v>
      </c>
      <c r="G106" s="12">
        <f t="shared" si="19"/>
        <v>0.09</v>
      </c>
      <c r="H106" s="12">
        <f t="shared" si="19"/>
        <v>1.5E-3</v>
      </c>
      <c r="I106" s="12">
        <f t="shared" si="19"/>
        <v>0</v>
      </c>
      <c r="J106" s="12">
        <f t="shared" si="19"/>
        <v>7.4999999999999997E-3</v>
      </c>
      <c r="K106" s="12">
        <f t="shared" si="19"/>
        <v>0</v>
      </c>
      <c r="L106" s="12">
        <f t="shared" si="19"/>
        <v>0</v>
      </c>
      <c r="M106" s="12">
        <f t="shared" si="19"/>
        <v>27.973500000000001</v>
      </c>
    </row>
    <row r="107" spans="3:14" x14ac:dyDescent="0.3">
      <c r="C107" s="6" t="s">
        <v>61</v>
      </c>
      <c r="D107" s="12">
        <f t="shared" si="19"/>
        <v>5.9089941756272552E-2</v>
      </c>
      <c r="E107" s="12">
        <f t="shared" si="19"/>
        <v>4.4317456317204407E-2</v>
      </c>
      <c r="F107" s="12">
        <f t="shared" si="19"/>
        <v>1.1758898409498235</v>
      </c>
      <c r="G107" s="12">
        <f t="shared" si="19"/>
        <v>1.4772485439068138E-2</v>
      </c>
      <c r="H107" s="12">
        <f t="shared" si="19"/>
        <v>3.5453965053763532E-2</v>
      </c>
      <c r="I107" s="12">
        <f t="shared" si="19"/>
        <v>1.4772485439068138E-2</v>
      </c>
      <c r="J107" s="12">
        <f t="shared" si="19"/>
        <v>1.181798835125451E-2</v>
      </c>
      <c r="K107" s="12">
        <f t="shared" si="19"/>
        <v>0</v>
      </c>
      <c r="L107" s="12">
        <f t="shared" si="19"/>
        <v>0</v>
      </c>
      <c r="M107" s="12">
        <f t="shared" si="19"/>
        <v>10.461874187948055</v>
      </c>
    </row>
    <row r="108" spans="3:14" x14ac:dyDescent="0.3">
      <c r="C108" s="6" t="s">
        <v>55</v>
      </c>
      <c r="D108" s="12">
        <f t="shared" si="19"/>
        <v>8.5341005824372748E-2</v>
      </c>
      <c r="E108" s="12">
        <f t="shared" si="19"/>
        <v>8.5341005824372748E-2</v>
      </c>
      <c r="F108" s="12">
        <f t="shared" si="19"/>
        <v>4.2670502912186374E-2</v>
      </c>
      <c r="G108" s="12">
        <f t="shared" si="19"/>
        <v>0.29869352038530456</v>
      </c>
      <c r="H108" s="12">
        <f t="shared" si="19"/>
        <v>12.801150873655912</v>
      </c>
      <c r="I108" s="12">
        <f t="shared" si="19"/>
        <v>0</v>
      </c>
      <c r="J108" s="12">
        <f t="shared" si="19"/>
        <v>0</v>
      </c>
      <c r="K108" s="12">
        <f t="shared" si="19"/>
        <v>0</v>
      </c>
      <c r="L108" s="12">
        <f t="shared" si="19"/>
        <v>0</v>
      </c>
      <c r="M108" s="12">
        <f t="shared" si="19"/>
        <v>157.36881474014334</v>
      </c>
    </row>
    <row r="109" spans="3:14" x14ac:dyDescent="0.3">
      <c r="C109" s="6" t="s">
        <v>68</v>
      </c>
      <c r="D109" s="12">
        <f>$I$94*(D33/100)</f>
        <v>0</v>
      </c>
      <c r="E109" s="12">
        <f t="shared" ref="E109:M109" si="20">$I$94*(E33/100)</f>
        <v>0</v>
      </c>
      <c r="F109" s="12">
        <f t="shared" si="20"/>
        <v>13.89143965613799</v>
      </c>
      <c r="G109" s="12">
        <f t="shared" si="20"/>
        <v>0</v>
      </c>
      <c r="H109" s="12">
        <f t="shared" si="20"/>
        <v>0</v>
      </c>
      <c r="I109" s="12">
        <f t="shared" si="20"/>
        <v>0</v>
      </c>
      <c r="J109" s="12">
        <f t="shared" si="20"/>
        <v>0</v>
      </c>
      <c r="K109" s="12">
        <f t="shared" si="20"/>
        <v>0</v>
      </c>
      <c r="L109" s="12">
        <f t="shared" si="20"/>
        <v>0</v>
      </c>
      <c r="M109" s="12">
        <f t="shared" si="20"/>
        <v>1.3892828939039005E-3</v>
      </c>
    </row>
    <row r="110" spans="3:14" x14ac:dyDescent="0.3">
      <c r="C110" s="6" t="s">
        <v>69</v>
      </c>
      <c r="D110" s="12">
        <f>$I$97*(D31/100)</f>
        <v>0</v>
      </c>
      <c r="E110" s="12">
        <f t="shared" ref="E110:M110" si="21">$I$97*(E31/100)</f>
        <v>0</v>
      </c>
      <c r="F110" s="12">
        <f t="shared" si="21"/>
        <v>0</v>
      </c>
      <c r="G110" s="12">
        <f t="shared" si="21"/>
        <v>0.69769378799006054</v>
      </c>
      <c r="H110" s="12">
        <f t="shared" si="21"/>
        <v>0</v>
      </c>
      <c r="I110" s="12">
        <f t="shared" si="21"/>
        <v>0</v>
      </c>
      <c r="J110" s="12">
        <f t="shared" si="21"/>
        <v>0</v>
      </c>
      <c r="K110" s="12">
        <f t="shared" si="21"/>
        <v>0</v>
      </c>
      <c r="L110" s="12">
        <f t="shared" si="21"/>
        <v>0</v>
      </c>
      <c r="M110" s="12">
        <f t="shared" si="21"/>
        <v>1.6279521719768077</v>
      </c>
    </row>
    <row r="111" spans="3:14" x14ac:dyDescent="0.3">
      <c r="C111" s="6" t="s">
        <v>70</v>
      </c>
      <c r="D111" s="12">
        <f>$I$100*(D34/100)</f>
        <v>0</v>
      </c>
      <c r="E111" s="12">
        <f t="shared" ref="E111:M111" si="22">$I$100*(E34/100)</f>
        <v>0</v>
      </c>
      <c r="F111" s="12">
        <f t="shared" si="22"/>
        <v>0</v>
      </c>
      <c r="G111" s="12">
        <f t="shared" si="22"/>
        <v>0</v>
      </c>
      <c r="H111" s="12">
        <f t="shared" si="22"/>
        <v>0</v>
      </c>
      <c r="I111" s="12">
        <f t="shared" si="22"/>
        <v>1.0477275145609319</v>
      </c>
      <c r="J111" s="12">
        <f t="shared" si="22"/>
        <v>0</v>
      </c>
      <c r="K111" s="12">
        <f t="shared" si="22"/>
        <v>0</v>
      </c>
      <c r="L111" s="12">
        <f t="shared" si="22"/>
        <v>0</v>
      </c>
      <c r="M111" s="12">
        <f t="shared" si="22"/>
        <v>1.0688937269763044</v>
      </c>
      <c r="N111">
        <v>250</v>
      </c>
    </row>
    <row r="112" spans="3:14" x14ac:dyDescent="0.3">
      <c r="C112" s="6" t="s">
        <v>62</v>
      </c>
      <c r="D112" s="12">
        <f>SUM(D105:D111)</f>
        <v>0.2063059475806453</v>
      </c>
      <c r="E112" s="12">
        <f t="shared" ref="E112:M112" si="23">SUM(E105:E111)</f>
        <v>0.19903346214157713</v>
      </c>
      <c r="F112" s="12">
        <f t="shared" si="23"/>
        <v>20</v>
      </c>
      <c r="G112" s="12">
        <f t="shared" si="23"/>
        <v>1.2886597938144333</v>
      </c>
      <c r="H112" s="12">
        <f t="shared" si="23"/>
        <v>14.919354838709676</v>
      </c>
      <c r="I112" s="12">
        <f t="shared" si="23"/>
        <v>1.25</v>
      </c>
      <c r="J112" s="12">
        <f t="shared" si="23"/>
        <v>2.8692988351254511E-2</v>
      </c>
      <c r="K112" s="12">
        <f t="shared" si="23"/>
        <v>0</v>
      </c>
      <c r="L112" s="12">
        <f t="shared" si="23"/>
        <v>0</v>
      </c>
      <c r="M112" s="12">
        <f t="shared" si="23"/>
        <v>230.44304910993841</v>
      </c>
      <c r="N112" s="13">
        <f>SUM(D112:M112)</f>
        <v>268.335096140536</v>
      </c>
    </row>
    <row r="113" spans="3:14" x14ac:dyDescent="0.3">
      <c r="C113" s="6" t="s">
        <v>56</v>
      </c>
      <c r="D113" s="12">
        <f>D41</f>
        <v>0.32552083333333337</v>
      </c>
      <c r="E113" s="12">
        <f t="shared" ref="E113:M113" si="24">E41</f>
        <v>0.3125</v>
      </c>
      <c r="F113" s="12">
        <f t="shared" si="24"/>
        <v>20</v>
      </c>
      <c r="G113" s="12">
        <f t="shared" si="24"/>
        <v>1.2886597938144331</v>
      </c>
      <c r="H113" s="12">
        <f t="shared" si="24"/>
        <v>14.919354838709676</v>
      </c>
      <c r="I113" s="12">
        <f t="shared" si="24"/>
        <v>1.25</v>
      </c>
      <c r="J113" s="12">
        <f t="shared" si="24"/>
        <v>6.3131313131313135E-2</v>
      </c>
      <c r="K113" s="12">
        <f t="shared" si="24"/>
        <v>0</v>
      </c>
      <c r="L113" s="12">
        <f t="shared" si="24"/>
        <v>0</v>
      </c>
      <c r="M113" s="12">
        <f t="shared" si="24"/>
        <v>226.52925531914894</v>
      </c>
      <c r="N113" s="13">
        <f>SUM(D113:M113)</f>
        <v>264.68842209813772</v>
      </c>
    </row>
    <row r="114" spans="3:14" x14ac:dyDescent="0.3">
      <c r="C114" s="6" t="s">
        <v>57</v>
      </c>
      <c r="D114" s="12">
        <f>D113-D112</f>
        <v>0.11921488575268807</v>
      </c>
      <c r="E114" s="12">
        <f t="shared" ref="E114:M114" si="25">E113-E112</f>
        <v>0.11346653785842287</v>
      </c>
      <c r="F114" s="12">
        <f t="shared" si="25"/>
        <v>0</v>
      </c>
      <c r="G114" s="12">
        <f t="shared" si="25"/>
        <v>0</v>
      </c>
      <c r="H114" s="12">
        <f t="shared" si="25"/>
        <v>0</v>
      </c>
      <c r="I114" s="12">
        <f t="shared" si="25"/>
        <v>0</v>
      </c>
      <c r="J114" s="12">
        <f t="shared" si="25"/>
        <v>3.4438324780058621E-2</v>
      </c>
      <c r="K114" s="12">
        <f t="shared" si="25"/>
        <v>0</v>
      </c>
      <c r="L114" s="12">
        <f t="shared" si="25"/>
        <v>0</v>
      </c>
      <c r="M114" s="12">
        <f t="shared" si="25"/>
        <v>-3.9137937907894695</v>
      </c>
      <c r="N114" s="14">
        <f>ABS(M114/M112)*100</f>
        <v>1.6983778881185951</v>
      </c>
    </row>
    <row r="115" spans="3:14" ht="15" thickBot="1" x14ac:dyDescent="0.35">
      <c r="C115" s="6" t="s">
        <v>71</v>
      </c>
      <c r="D115" s="12">
        <f>((D112*(D35/100))/$N$111)*100</f>
        <v>7.9221483870967793E-2</v>
      </c>
      <c r="E115" s="12">
        <f>((E112*(E35/100))/$N$111)*100</f>
        <v>7.9613384856630859E-2</v>
      </c>
      <c r="F115" s="12">
        <f>((F112*(F35/100))/$N$111)*100</f>
        <v>8</v>
      </c>
      <c r="G115" s="12">
        <f>((G112*(G35/100))/$N$111)*100</f>
        <v>0.50000000000000011</v>
      </c>
      <c r="H115" s="12">
        <f>((H112*(H35/100))/$N$111)*100</f>
        <v>5.55</v>
      </c>
      <c r="I115" s="12">
        <f t="shared" ref="I115:M115" si="26">((I112*(I35/100))/$N$111)*100</f>
        <v>0.5</v>
      </c>
      <c r="J115" s="12">
        <f t="shared" si="26"/>
        <v>1.1362423387096787E-2</v>
      </c>
      <c r="K115" s="12">
        <f t="shared" si="26"/>
        <v>0</v>
      </c>
      <c r="L115" s="12">
        <f t="shared" si="26"/>
        <v>0</v>
      </c>
      <c r="M115" s="12">
        <f t="shared" si="26"/>
        <v>86.646586465336839</v>
      </c>
    </row>
    <row r="116" spans="3:14" ht="24" customHeight="1" thickBot="1" x14ac:dyDescent="0.35">
      <c r="C116" s="1">
        <v>240</v>
      </c>
      <c r="D116" s="1">
        <v>0.5</v>
      </c>
      <c r="E116" s="1">
        <v>0.5</v>
      </c>
      <c r="F116" s="3" t="s">
        <v>11</v>
      </c>
      <c r="G116" s="3" t="s">
        <v>12</v>
      </c>
      <c r="H116" s="3" t="s">
        <v>13</v>
      </c>
      <c r="I116" s="3" t="s">
        <v>14</v>
      </c>
      <c r="J116" s="1">
        <v>0.1</v>
      </c>
      <c r="K116" s="1" t="s">
        <v>15</v>
      </c>
      <c r="L116" s="1">
        <v>0.2</v>
      </c>
    </row>
  </sheetData>
  <mergeCells count="4">
    <mergeCell ref="C3:C4"/>
    <mergeCell ref="D3:L3"/>
    <mergeCell ref="C20:C21"/>
    <mergeCell ref="D20:L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Jardon</dc:creator>
  <cp:lastModifiedBy>Enrique Jardon</cp:lastModifiedBy>
  <dcterms:created xsi:type="dcterms:W3CDTF">2015-06-05T18:19:34Z</dcterms:created>
  <dcterms:modified xsi:type="dcterms:W3CDTF">2025-03-19T01:23:46Z</dcterms:modified>
</cp:coreProperties>
</file>